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<sst xmlns="http://schemas.openxmlformats.org/spreadsheetml/2006/main" count="1478" uniqueCount="307">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</sst>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457733.24000000005</v>
      </c>
      <c r="G8" s="18">
        <f aca="true" t="shared" si="0" ref="G8:G54">F8-E8</f>
        <v>-1019.2599999999511</v>
      </c>
      <c r="H8" s="45">
        <f>F8/E8*100</f>
        <v>99.77781919444581</v>
      </c>
      <c r="I8" s="31">
        <f aca="true" t="shared" si="1" ref="I8:I54">F8-D8</f>
        <v>-114555.75999999995</v>
      </c>
      <c r="J8" s="31">
        <f aca="true" t="shared" si="2" ref="J8:J14">F8/D8*100</f>
        <v>79.98288277426266</v>
      </c>
      <c r="K8" s="18">
        <f>K9+K15+K18+K19+K20+K32</f>
        <v>98749.39600000004</v>
      </c>
      <c r="L8" s="18"/>
      <c r="M8" s="18">
        <f>M9+M15+M18+M19+M20+M32+M17</f>
        <v>45676.399999999994</v>
      </c>
      <c r="N8" s="18">
        <f>N9+N15+N18+N19+N20+N32+N17</f>
        <v>28221.130000000012</v>
      </c>
      <c r="O8" s="31">
        <f aca="true" t="shared" si="3" ref="O8:O54">N8-M8</f>
        <v>-17455.269999999982</v>
      </c>
      <c r="P8" s="31">
        <f>F8/M8*100</f>
        <v>1002.1219710835358</v>
      </c>
      <c r="Q8" s="31">
        <f>N8-33748.16</f>
        <v>-5527.029999999992</v>
      </c>
      <c r="R8" s="125">
        <f>N8/33748.16</f>
        <v>0.8362272194987819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254948.34</v>
      </c>
      <c r="G9" s="43">
        <f t="shared" si="0"/>
        <v>6333.790000000008</v>
      </c>
      <c r="H9" s="35">
        <f aca="true" t="shared" si="4" ref="H9:H32">F9/E9*100</f>
        <v>102.54763448076551</v>
      </c>
      <c r="I9" s="50">
        <f t="shared" si="1"/>
        <v>-57741.66</v>
      </c>
      <c r="J9" s="50">
        <f t="shared" si="2"/>
        <v>81.5338961911158</v>
      </c>
      <c r="K9" s="132">
        <f>F9-282613.68/75*60</f>
        <v>28857.396000000008</v>
      </c>
      <c r="L9" s="132">
        <f>F9/(282613.68/75*60)*100</f>
        <v>112.7636231197301</v>
      </c>
      <c r="M9" s="35">
        <f>E9-серпень!E9</f>
        <v>26089.899999999994</v>
      </c>
      <c r="N9" s="35">
        <f>F9-серпень!F9</f>
        <v>21237.329999999987</v>
      </c>
      <c r="O9" s="47">
        <f t="shared" si="3"/>
        <v>-4852.570000000007</v>
      </c>
      <c r="P9" s="50">
        <f aca="true" t="shared" si="5" ref="P9:P32">N9/M9*100</f>
        <v>81.40058030118932</v>
      </c>
      <c r="Q9" s="132">
        <f>N9-26568.11</f>
        <v>-5330.780000000013</v>
      </c>
      <c r="R9" s="133">
        <f>N9/26568.11</f>
        <v>0.7993541881601659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225395.89</v>
      </c>
      <c r="G10" s="135">
        <f t="shared" si="0"/>
        <v>6905.640000000014</v>
      </c>
      <c r="H10" s="137">
        <f t="shared" si="4"/>
        <v>103.1606170069374</v>
      </c>
      <c r="I10" s="136">
        <f t="shared" si="1"/>
        <v>-15014.109999999986</v>
      </c>
      <c r="J10" s="136">
        <f t="shared" si="2"/>
        <v>93.75478973420407</v>
      </c>
      <c r="K10" s="138">
        <f>F10-251377.17/75*60</f>
        <v>24294.15400000001</v>
      </c>
      <c r="L10" s="138">
        <f>F10/(251377.17/75*60)*100</f>
        <v>112.08052923023996</v>
      </c>
      <c r="M10" s="137">
        <f>E10-серпень!E10</f>
        <v>22490</v>
      </c>
      <c r="N10" s="137">
        <f>F10-серпень!F10</f>
        <v>18777.680000000022</v>
      </c>
      <c r="O10" s="138">
        <f t="shared" si="3"/>
        <v>-3712.319999999978</v>
      </c>
      <c r="P10" s="136">
        <f t="shared" si="5"/>
        <v>83.49346376167195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13383.09</v>
      </c>
      <c r="G11" s="135">
        <f t="shared" si="0"/>
        <v>-3404.8100000000013</v>
      </c>
      <c r="H11" s="137">
        <f t="shared" si="4"/>
        <v>79.71866642045758</v>
      </c>
      <c r="I11" s="136">
        <f t="shared" si="1"/>
        <v>-10316.91</v>
      </c>
      <c r="J11" s="136">
        <f t="shared" si="2"/>
        <v>56.46873417721518</v>
      </c>
      <c r="K11" s="138">
        <f>F11-18550.28/75*60</f>
        <v>-1457.134</v>
      </c>
      <c r="L11" s="138">
        <f>F11/(18550.28/75*60)*100</f>
        <v>90.18118594436311</v>
      </c>
      <c r="M11" s="137">
        <f>E11-серпень!E11</f>
        <v>2099.9000000000015</v>
      </c>
      <c r="N11" s="137">
        <f>F11-серпень!F11</f>
        <v>974.5300000000007</v>
      </c>
      <c r="O11" s="138">
        <f t="shared" si="3"/>
        <v>-1125.3700000000008</v>
      </c>
      <c r="P11" s="136">
        <f t="shared" si="5"/>
        <v>46.40840040001905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3671.97</v>
      </c>
      <c r="G12" s="135">
        <f t="shared" si="0"/>
        <v>-237.0300000000002</v>
      </c>
      <c r="H12" s="137">
        <f t="shared" si="4"/>
        <v>93.93630084420568</v>
      </c>
      <c r="I12" s="136">
        <f t="shared" si="1"/>
        <v>-2128.03</v>
      </c>
      <c r="J12" s="136">
        <f t="shared" si="2"/>
        <v>63.30982758620689</v>
      </c>
      <c r="K12" s="138">
        <f>F12-5298.15/75*60</f>
        <v>-566.5499999999997</v>
      </c>
      <c r="L12" s="138">
        <f>F12/(5298.15*60)*100</f>
        <v>1.1551107462038637</v>
      </c>
      <c r="M12" s="137">
        <f>E12-серпень!E12</f>
        <v>660</v>
      </c>
      <c r="N12" s="137">
        <f>F12-серпень!F12</f>
        <v>340.6099999999997</v>
      </c>
      <c r="O12" s="138">
        <f t="shared" si="3"/>
        <v>-319.3900000000003</v>
      </c>
      <c r="P12" s="136">
        <f t="shared" si="5"/>
        <v>51.60757575757571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5536.02</v>
      </c>
      <c r="G13" s="135">
        <f t="shared" si="0"/>
        <v>-687.3799999999992</v>
      </c>
      <c r="H13" s="137">
        <f t="shared" si="4"/>
        <v>88.95491210592283</v>
      </c>
      <c r="I13" s="136">
        <f t="shared" si="1"/>
        <v>-2863.9799999999996</v>
      </c>
      <c r="J13" s="136">
        <f t="shared" si="2"/>
        <v>65.905</v>
      </c>
      <c r="K13" s="138">
        <f>F13-7303.25/75*60</f>
        <v>-306.5799999999999</v>
      </c>
      <c r="L13" s="138">
        <f>F13/(7303.25/75*60)*100</f>
        <v>94.75267860199227</v>
      </c>
      <c r="M13" s="137">
        <f>E13-серпень!E13</f>
        <v>450</v>
      </c>
      <c r="N13" s="137">
        <f>F13-серпень!F13</f>
        <v>559.2900000000009</v>
      </c>
      <c r="O13" s="138">
        <f t="shared" si="3"/>
        <v>109.29000000000087</v>
      </c>
      <c r="P13" s="136">
        <f t="shared" si="5"/>
        <v>124.28666666666686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-670.52</v>
      </c>
      <c r="G15" s="43">
        <f t="shared" si="0"/>
        <v>-841.92</v>
      </c>
      <c r="H15" s="35"/>
      <c r="I15" s="50">
        <f t="shared" si="1"/>
        <v>-670.52</v>
      </c>
      <c r="J15" s="50" t="e">
        <f>F15/D15*100</f>
        <v>#DIV/0!</v>
      </c>
      <c r="K15" s="53">
        <f>F15-(-404.47)</f>
        <v>-266.04999999999995</v>
      </c>
      <c r="L15" s="53">
        <f>F15/(-404.47)*100</f>
        <v>165.7774371399609</v>
      </c>
      <c r="M15" s="35">
        <f>E15-серпень!E15</f>
        <v>0.09999999999999432</v>
      </c>
      <c r="N15" s="35">
        <f>F15-серпень!F15</f>
        <v>64.06000000000006</v>
      </c>
      <c r="O15" s="47">
        <f t="shared" si="3"/>
        <v>63.960000000000065</v>
      </c>
      <c r="P15" s="50"/>
      <c r="Q15" s="50">
        <f>N15-358.81</f>
        <v>-294.74999999999994</v>
      </c>
      <c r="R15" s="126">
        <f>N15/358.81</f>
        <v>0.17853460048493647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-1169.76</v>
      </c>
      <c r="G16" s="135">
        <f t="shared" si="0"/>
        <v>-1169.76</v>
      </c>
      <c r="H16" s="137"/>
      <c r="I16" s="136">
        <f t="shared" si="1"/>
        <v>-1169.76</v>
      </c>
      <c r="J16" s="136"/>
      <c r="K16" s="138">
        <f>F16-95.61</f>
        <v>-1265.37</v>
      </c>
      <c r="L16" s="138">
        <f>F16/95.61*100</f>
        <v>-1223.4703482899276</v>
      </c>
      <c r="M16" s="35">
        <f>E16-серпень!E16</f>
        <v>0</v>
      </c>
      <c r="N16" s="35">
        <f>F16-серпень!F16</f>
        <v>64.04999999999995</v>
      </c>
      <c r="O16" s="138">
        <f t="shared" si="3"/>
        <v>64.04999999999995</v>
      </c>
      <c r="P16" s="50"/>
      <c r="Q16" s="136">
        <f>N16-358.81</f>
        <v>-294.76000000000005</v>
      </c>
      <c r="R16" s="141">
        <f>N16/358.79</f>
        <v>0.17851668106691923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44886.51</v>
      </c>
      <c r="G19" s="43">
        <f t="shared" si="0"/>
        <v>-5836.239999999998</v>
      </c>
      <c r="H19" s="35">
        <f t="shared" si="4"/>
        <v>88.4938415208166</v>
      </c>
      <c r="I19" s="50">
        <f t="shared" si="1"/>
        <v>-17323.489999999998</v>
      </c>
      <c r="J19" s="178">
        <f>F19/D19*100</f>
        <v>72.15320687992285</v>
      </c>
      <c r="K19" s="179">
        <f>F19-0</f>
        <v>44886.51</v>
      </c>
      <c r="L19" s="180"/>
      <c r="M19" s="35">
        <f>E19-серпень!E19</f>
        <v>6800</v>
      </c>
      <c r="N19" s="35">
        <f>F19-серпень!F19</f>
        <v>1008.8499999999985</v>
      </c>
      <c r="O19" s="47">
        <f t="shared" si="3"/>
        <v>-5791.1500000000015</v>
      </c>
      <c r="P19" s="50">
        <f t="shared" si="5"/>
        <v>14.836029411764684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152974.51</v>
      </c>
      <c r="G20" s="43">
        <f t="shared" si="0"/>
        <v>-503.88999999998487</v>
      </c>
      <c r="H20" s="35">
        <f t="shared" si="4"/>
        <v>99.67168669988742</v>
      </c>
      <c r="I20" s="50">
        <f t="shared" si="1"/>
        <v>-36895.48999999999</v>
      </c>
      <c r="J20" s="178">
        <f aca="true" t="shared" si="6" ref="J20:J46">F20/D20*100</f>
        <v>80.56802549112551</v>
      </c>
      <c r="K20" s="178">
        <f>K21+K25+K26+K27</f>
        <v>27049.420000000006</v>
      </c>
      <c r="L20" s="136"/>
      <c r="M20" s="35">
        <f>E20-серпень!E20</f>
        <v>12786.100000000006</v>
      </c>
      <c r="N20" s="35">
        <f>F20-серпень!F20</f>
        <v>5906.340000000026</v>
      </c>
      <c r="O20" s="47">
        <f t="shared" si="3"/>
        <v>-6879.75999999998</v>
      </c>
      <c r="P20" s="50">
        <f t="shared" si="5"/>
        <v>46.19344444357563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82687.98</v>
      </c>
      <c r="G21" s="43">
        <f t="shared" si="0"/>
        <v>-3212.4199999999983</v>
      </c>
      <c r="H21" s="35">
        <f t="shared" si="4"/>
        <v>96.26029680886235</v>
      </c>
      <c r="I21" s="50">
        <f t="shared" si="1"/>
        <v>-27612.020000000004</v>
      </c>
      <c r="J21" s="178">
        <f t="shared" si="6"/>
        <v>74.96643699002719</v>
      </c>
      <c r="K21" s="178">
        <f>K22+K23+K24</f>
        <v>21141.369999999995</v>
      </c>
      <c r="L21" s="136"/>
      <c r="M21" s="35">
        <f>E21-серпень!E21</f>
        <v>8720.099999999991</v>
      </c>
      <c r="N21" s="35">
        <f>F21-серпень!F21</f>
        <v>2889.0999999999913</v>
      </c>
      <c r="O21" s="47">
        <f t="shared" si="3"/>
        <v>-5831</v>
      </c>
      <c r="P21" s="50">
        <f t="shared" si="5"/>
        <v>33.131500785541384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9022.94</v>
      </c>
      <c r="G22" s="135">
        <f t="shared" si="0"/>
        <v>228.54000000000087</v>
      </c>
      <c r="H22" s="137">
        <f t="shared" si="4"/>
        <v>102.5986991722005</v>
      </c>
      <c r="I22" s="136">
        <f t="shared" si="1"/>
        <v>-1677.0599999999995</v>
      </c>
      <c r="J22" s="136">
        <f t="shared" si="6"/>
        <v>84.32654205607477</v>
      </c>
      <c r="K22" s="136">
        <f>F22-314.15</f>
        <v>8708.79</v>
      </c>
      <c r="L22" s="136">
        <f>F22/314.15*100</f>
        <v>2872.1757122393765</v>
      </c>
      <c r="M22" s="137">
        <f>E22-серпень!E22</f>
        <v>171.10000000000036</v>
      </c>
      <c r="N22" s="137">
        <f>F22-серпень!F22</f>
        <v>349.2000000000007</v>
      </c>
      <c r="O22" s="138">
        <f t="shared" si="3"/>
        <v>178.10000000000036</v>
      </c>
      <c r="P22" s="136">
        <f t="shared" si="5"/>
        <v>204.09117475160724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3275.28</v>
      </c>
      <c r="G23" s="135">
        <f t="shared" si="0"/>
        <v>1488.2800000000002</v>
      </c>
      <c r="H23" s="137"/>
      <c r="I23" s="136">
        <f t="shared" si="1"/>
        <v>1175.2800000000002</v>
      </c>
      <c r="J23" s="136">
        <f t="shared" si="6"/>
        <v>155.96571428571428</v>
      </c>
      <c r="K23" s="136">
        <f>F23-0</f>
        <v>3275.28</v>
      </c>
      <c r="L23" s="136"/>
      <c r="M23" s="137">
        <f>E23-серпень!E23</f>
        <v>309</v>
      </c>
      <c r="N23" s="137">
        <f>F23-серпень!F23</f>
        <v>158.33000000000038</v>
      </c>
      <c r="O23" s="138">
        <f t="shared" si="3"/>
        <v>-150.66999999999962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70389.76</v>
      </c>
      <c r="G24" s="135">
        <f t="shared" si="0"/>
        <v>-4929.240000000005</v>
      </c>
      <c r="H24" s="137">
        <f t="shared" si="4"/>
        <v>93.455515872489</v>
      </c>
      <c r="I24" s="136">
        <f t="shared" si="1"/>
        <v>-27110.240000000005</v>
      </c>
      <c r="J24" s="136">
        <f t="shared" si="6"/>
        <v>72.19462564102564</v>
      </c>
      <c r="K24" s="224">
        <f>F24-61232.46</f>
        <v>9157.299999999996</v>
      </c>
      <c r="L24" s="224">
        <f>F24/61232.46*100</f>
        <v>114.95497649449327</v>
      </c>
      <c r="M24" s="137">
        <f>E24-серпень!E24</f>
        <v>8240</v>
      </c>
      <c r="N24" s="137">
        <f>F24-серпень!F24</f>
        <v>2381.5699999999924</v>
      </c>
      <c r="O24" s="138">
        <f t="shared" si="3"/>
        <v>-5858.430000000008</v>
      </c>
      <c r="P24" s="136">
        <f t="shared" si="5"/>
        <v>28.902548543689228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54.85</v>
      </c>
      <c r="G25" s="43">
        <f t="shared" si="0"/>
        <v>13.350000000000001</v>
      </c>
      <c r="H25" s="35">
        <f t="shared" si="4"/>
        <v>132.16867469879517</v>
      </c>
      <c r="I25" s="50">
        <f t="shared" si="1"/>
        <v>-15.149999999999999</v>
      </c>
      <c r="J25" s="178">
        <f t="shared" si="6"/>
        <v>78.35714285714286</v>
      </c>
      <c r="K25" s="178">
        <f>F25-44.08</f>
        <v>10.770000000000003</v>
      </c>
      <c r="L25" s="178">
        <f>F25/44.08*100</f>
        <v>124.43284936479128</v>
      </c>
      <c r="M25" s="35">
        <f>E25-серпень!E25</f>
        <v>6</v>
      </c>
      <c r="N25" s="35">
        <f>F25-серпень!F25</f>
        <v>6</v>
      </c>
      <c r="O25" s="47">
        <f t="shared" si="3"/>
        <v>0</v>
      </c>
      <c r="P25" s="50">
        <f t="shared" si="5"/>
        <v>100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-702.28</v>
      </c>
      <c r="G26" s="43">
        <f t="shared" si="0"/>
        <v>-702.28</v>
      </c>
      <c r="H26" s="35"/>
      <c r="I26" s="50">
        <f t="shared" si="1"/>
        <v>-702.28</v>
      </c>
      <c r="J26" s="136"/>
      <c r="K26" s="178">
        <f>F26-4797.94</f>
        <v>-5500.219999999999</v>
      </c>
      <c r="L26" s="178">
        <f>F26/4797.94*100</f>
        <v>-14.63711509522837</v>
      </c>
      <c r="M26" s="35">
        <f>E26-серпень!E26</f>
        <v>0</v>
      </c>
      <c r="N26" s="35">
        <f>F26-серпень!F26</f>
        <v>-87.70999999999992</v>
      </c>
      <c r="O26" s="47">
        <f t="shared" si="3"/>
        <v>-87.70999999999992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70933.96</v>
      </c>
      <c r="G27" s="43">
        <f t="shared" si="0"/>
        <v>3397.4600000000064</v>
      </c>
      <c r="H27" s="35">
        <f t="shared" si="4"/>
        <v>105.03055384865962</v>
      </c>
      <c r="I27" s="50">
        <f t="shared" si="1"/>
        <v>-8566.039999999994</v>
      </c>
      <c r="J27" s="178">
        <f t="shared" si="6"/>
        <v>89.225106918239</v>
      </c>
      <c r="K27" s="132">
        <f>F27-59536.46</f>
        <v>11397.500000000007</v>
      </c>
      <c r="L27" s="132">
        <f>F27/59536.46*100</f>
        <v>119.14373142104857</v>
      </c>
      <c r="M27" s="35">
        <f>E27-серпень!E27</f>
        <v>4060</v>
      </c>
      <c r="N27" s="35">
        <f>F27-серпень!F27</f>
        <v>3098.9500000000116</v>
      </c>
      <c r="O27" s="47">
        <f t="shared" si="3"/>
        <v>-961.0499999999884</v>
      </c>
      <c r="P27" s="50">
        <f t="shared" si="5"/>
        <v>76.32881773399043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17278.59</v>
      </c>
      <c r="G29" s="135">
        <f t="shared" si="0"/>
        <v>498.59000000000015</v>
      </c>
      <c r="H29" s="137">
        <f t="shared" si="4"/>
        <v>102.97133492252681</v>
      </c>
      <c r="I29" s="136">
        <f t="shared" si="1"/>
        <v>-1921.4099999999999</v>
      </c>
      <c r="J29" s="136">
        <f t="shared" si="6"/>
        <v>89.99265625</v>
      </c>
      <c r="K29" s="139">
        <f>F29-16472.46</f>
        <v>806.130000000001</v>
      </c>
      <c r="L29" s="139">
        <f>F29/16472.46*100</f>
        <v>104.89380456835227</v>
      </c>
      <c r="M29" s="137">
        <f>E29-серпень!E29</f>
        <v>1200</v>
      </c>
      <c r="N29" s="137">
        <f>F29-серпень!F29</f>
        <v>347.2599999999984</v>
      </c>
      <c r="O29" s="138">
        <f t="shared" si="3"/>
        <v>-852.7400000000016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53639.74</v>
      </c>
      <c r="G30" s="135">
        <f t="shared" si="0"/>
        <v>2883.239999999998</v>
      </c>
      <c r="H30" s="137">
        <f t="shared" si="4"/>
        <v>105.6805335277255</v>
      </c>
      <c r="I30" s="136">
        <f t="shared" si="1"/>
        <v>-6660.260000000002</v>
      </c>
      <c r="J30" s="136">
        <f t="shared" si="6"/>
        <v>88.95479270315091</v>
      </c>
      <c r="K30" s="139">
        <f>F30-43062.79</f>
        <v>10576.949999999997</v>
      </c>
      <c r="L30" s="139">
        <f>F30/43062.79*100</f>
        <v>124.56169235667265</v>
      </c>
      <c r="M30" s="137">
        <f>E30-серпень!E30</f>
        <v>2860</v>
      </c>
      <c r="N30" s="137">
        <f>F30-серпень!F30</f>
        <v>2751.6699999999983</v>
      </c>
      <c r="O30" s="138">
        <f t="shared" si="3"/>
        <v>-108.33000000000175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5578.51</v>
      </c>
      <c r="G32" s="43">
        <f t="shared" si="0"/>
        <v>-173.88999999999942</v>
      </c>
      <c r="H32" s="35">
        <f t="shared" si="4"/>
        <v>96.97708782421252</v>
      </c>
      <c r="I32" s="50">
        <f t="shared" si="1"/>
        <v>-1921.4899999999998</v>
      </c>
      <c r="J32" s="178">
        <f t="shared" si="6"/>
        <v>74.38013333333333</v>
      </c>
      <c r="K32" s="178">
        <f>F32-7368.88</f>
        <v>-1790.37</v>
      </c>
      <c r="L32" s="178">
        <f>F32/7368.88*100</f>
        <v>75.70363474503588</v>
      </c>
      <c r="M32" s="35">
        <f>E32-серпень!E32</f>
        <v>0.2999999999992724</v>
      </c>
      <c r="N32" s="35">
        <f>F32-серпень!F32</f>
        <v>4.550000000000182</v>
      </c>
      <c r="O32" s="47">
        <f t="shared" si="3"/>
        <v>4.2500000000009095</v>
      </c>
      <c r="P32" s="50">
        <f t="shared" si="5"/>
        <v>1516.6666666704057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27759.99</v>
      </c>
      <c r="G33" s="44">
        <f t="shared" si="0"/>
        <v>1109.9900000000016</v>
      </c>
      <c r="H33" s="45">
        <f>F33/E33*100</f>
        <v>104.16506566604129</v>
      </c>
      <c r="I33" s="31">
        <f t="shared" si="1"/>
        <v>-7879.579999999998</v>
      </c>
      <c r="J33" s="31">
        <f t="shared" si="6"/>
        <v>77.89092292639896</v>
      </c>
      <c r="K33" s="18">
        <f>K34+K35+K36+K37+K38+K41+K42+K47+K48+K52+K40</f>
        <v>18001.3</v>
      </c>
      <c r="L33" s="18"/>
      <c r="M33" s="18">
        <f>M34+M35+M36+M37+M38+M41+M42+M47+M48+M52+M40+M39</f>
        <v>6559.8</v>
      </c>
      <c r="N33" s="18">
        <f>N34+N35+N36+N37+N38+N41+N42+N47+N48+N52+N40+N39</f>
        <v>6152.64</v>
      </c>
      <c r="O33" s="49">
        <f t="shared" si="3"/>
        <v>-407.15999999999985</v>
      </c>
      <c r="P33" s="31">
        <f>N33/M33*100</f>
        <v>93.79310344827586</v>
      </c>
      <c r="Q33" s="31">
        <f>N33-1017.63</f>
        <v>5135.01</v>
      </c>
      <c r="R33" s="127">
        <f>N33/1017.63</f>
        <v>6.046048170749684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/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319.89</v>
      </c>
      <c r="G36" s="43">
        <f t="shared" si="0"/>
        <v>79.88999999999999</v>
      </c>
      <c r="H36" s="35"/>
      <c r="I36" s="50">
        <f t="shared" si="1"/>
        <v>79.88999999999999</v>
      </c>
      <c r="J36" s="50"/>
      <c r="K36" s="50">
        <f>F36-272.25</f>
        <v>47.639999999999986</v>
      </c>
      <c r="L36" s="50">
        <f>F36/272.25*100</f>
        <v>117.49862258953168</v>
      </c>
      <c r="M36" s="35">
        <f>E36-серпень!E36</f>
        <v>0</v>
      </c>
      <c r="N36" s="35">
        <f>F36-серпень!F36</f>
        <v>12.689999999999998</v>
      </c>
      <c r="O36" s="47">
        <f t="shared" si="3"/>
        <v>12.689999999999998</v>
      </c>
      <c r="P36" s="50"/>
      <c r="Q36" s="50">
        <f>N36-4.23</f>
        <v>8.459999999999997</v>
      </c>
      <c r="R36" s="126">
        <f>N36/4.23</f>
        <v>2.999999999999999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114.9</v>
      </c>
      <c r="G38" s="43">
        <f t="shared" si="0"/>
        <v>9.900000000000006</v>
      </c>
      <c r="H38" s="35">
        <f>F38/E38*100</f>
        <v>109.42857142857143</v>
      </c>
      <c r="I38" s="50">
        <f t="shared" si="1"/>
        <v>-25.099999999999994</v>
      </c>
      <c r="J38" s="50">
        <f t="shared" si="6"/>
        <v>82.07142857142857</v>
      </c>
      <c r="K38" s="50">
        <f>F38-97.95</f>
        <v>16.950000000000003</v>
      </c>
      <c r="L38" s="50">
        <f>F38/97.95*100</f>
        <v>117.30474732006127</v>
      </c>
      <c r="M38" s="35">
        <f>E38-серпень!E38</f>
        <v>15</v>
      </c>
      <c r="N38" s="35">
        <f>F38-серпень!F38</f>
        <v>10.840000000000003</v>
      </c>
      <c r="O38" s="47">
        <f t="shared" si="3"/>
        <v>-4.159999999999997</v>
      </c>
      <c r="P38" s="50">
        <f>N38/M38*100</f>
        <v>72.2666666666667</v>
      </c>
      <c r="Q38" s="50">
        <f>N38-9.02</f>
        <v>1.8200000000000038</v>
      </c>
      <c r="R38" s="126">
        <f>N38/9.02</f>
        <v>1.2017738359201777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/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7357.02</v>
      </c>
      <c r="G40" s="43"/>
      <c r="H40" s="35"/>
      <c r="I40" s="50">
        <f t="shared" si="1"/>
        <v>-1642.9799999999996</v>
      </c>
      <c r="J40" s="50"/>
      <c r="K40" s="50">
        <f>F40-0</f>
        <v>7357.02</v>
      </c>
      <c r="L40" s="50"/>
      <c r="M40" s="35">
        <f>E40-серпень!E40</f>
        <v>1000</v>
      </c>
      <c r="N40" s="35">
        <f>F40-серпень!F40</f>
        <v>584.9700000000003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5592.04</v>
      </c>
      <c r="G42" s="43">
        <f t="shared" si="0"/>
        <v>-206.96000000000004</v>
      </c>
      <c r="H42" s="35">
        <f>F42/E42*100</f>
        <v>96.43110881186412</v>
      </c>
      <c r="I42" s="50">
        <f t="shared" si="1"/>
        <v>-1507.96</v>
      </c>
      <c r="J42" s="50">
        <f t="shared" si="6"/>
        <v>78.76112676056339</v>
      </c>
      <c r="K42" s="50">
        <f>F42-782.38</f>
        <v>4809.66</v>
      </c>
      <c r="L42" s="50">
        <f>F42/782.38*100</f>
        <v>714.7473094915514</v>
      </c>
      <c r="M42" s="35">
        <f>E42-серпень!E42</f>
        <v>604.3000000000002</v>
      </c>
      <c r="N42" s="35">
        <f>F42-серпень!F42</f>
        <v>370.6099999999997</v>
      </c>
      <c r="O42" s="47">
        <f t="shared" si="3"/>
        <v>-233.6900000000005</v>
      </c>
      <c r="P42" s="50">
        <f>N42/M42*100</f>
        <v>61.32881019361237</v>
      </c>
      <c r="Q42" s="50">
        <f>N42-79.51</f>
        <v>291.0999999999997</v>
      </c>
      <c r="R42" s="126">
        <f>N42/79.51</f>
        <v>4.661174695006913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786.68</v>
      </c>
      <c r="G43" s="135">
        <f t="shared" si="0"/>
        <v>-53.32000000000005</v>
      </c>
      <c r="H43" s="137">
        <f>F43/E43*100</f>
        <v>93.65238095238094</v>
      </c>
      <c r="I43" s="136">
        <f t="shared" si="1"/>
        <v>-313.32000000000005</v>
      </c>
      <c r="J43" s="136">
        <f t="shared" si="6"/>
        <v>71.51636363636364</v>
      </c>
      <c r="K43" s="136">
        <f>F43-687.25</f>
        <v>99.42999999999995</v>
      </c>
      <c r="L43" s="136">
        <f>F43/687.25*100</f>
        <v>114.46780647508183</v>
      </c>
      <c r="M43" s="35">
        <f>E43-серпень!E43</f>
        <v>80</v>
      </c>
      <c r="N43" s="35">
        <f>F43-серпень!F43</f>
        <v>51.549999999999955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44.04</v>
      </c>
      <c r="G44" s="135">
        <f t="shared" si="0"/>
        <v>-15.96</v>
      </c>
      <c r="H44" s="137"/>
      <c r="I44" s="136">
        <f t="shared" si="1"/>
        <v>-35.96</v>
      </c>
      <c r="J44" s="136"/>
      <c r="K44" s="136">
        <f>F44-0</f>
        <v>44.04</v>
      </c>
      <c r="L44" s="136"/>
      <c r="M44" s="35">
        <f>E44-серпень!E44</f>
        <v>10</v>
      </c>
      <c r="N44" s="35">
        <f>F44-серпень!F44</f>
        <v>-1.4100000000000037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4760.57</v>
      </c>
      <c r="G46" s="135">
        <f t="shared" si="0"/>
        <v>-137.4300000000003</v>
      </c>
      <c r="H46" s="137">
        <f>F46/E46*100</f>
        <v>97.19416088199264</v>
      </c>
      <c r="I46" s="136">
        <f t="shared" si="1"/>
        <v>-1157.4300000000003</v>
      </c>
      <c r="J46" s="136">
        <f t="shared" si="6"/>
        <v>80.44221020615072</v>
      </c>
      <c r="K46" s="136">
        <f>F46-95.13</f>
        <v>4665.44</v>
      </c>
      <c r="L46" s="136">
        <f>F46/95.13*100</f>
        <v>5004.278355933985</v>
      </c>
      <c r="M46" s="35">
        <f>E46-серпень!E46</f>
        <v>514</v>
      </c>
      <c r="N46" s="35">
        <f>F46-серпень!F46</f>
        <v>320.46000000000004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3492.83</v>
      </c>
      <c r="G48" s="43">
        <f t="shared" si="0"/>
        <v>402.8299999999999</v>
      </c>
      <c r="H48" s="35">
        <f>F48/E48*100</f>
        <v>113.03656957928803</v>
      </c>
      <c r="I48" s="50">
        <f t="shared" si="1"/>
        <v>-707.1700000000001</v>
      </c>
      <c r="J48" s="50">
        <f>F48/D48*100</f>
        <v>83.16261904761905</v>
      </c>
      <c r="K48" s="50">
        <f>F48-3093.83</f>
        <v>399</v>
      </c>
      <c r="L48" s="50">
        <f>F48/3093.83*100</f>
        <v>112.896636208195</v>
      </c>
      <c r="M48" s="35">
        <f>E48-серпень!E48</f>
        <v>390</v>
      </c>
      <c r="N48" s="35">
        <f>F48-серпень!F48</f>
        <v>300.17999999999984</v>
      </c>
      <c r="O48" s="47">
        <f t="shared" si="3"/>
        <v>-89.82000000000016</v>
      </c>
      <c r="P48" s="50">
        <f aca="true" t="shared" si="7" ref="P48:P53">N48/M48*100</f>
        <v>76.96923076923072</v>
      </c>
      <c r="Q48" s="50">
        <f>N48-277.38</f>
        <v>22.79999999999984</v>
      </c>
      <c r="R48" s="126">
        <f>N48/277.38</f>
        <v>1.0821977071165905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973.9</v>
      </c>
      <c r="G51" s="135">
        <f t="shared" si="0"/>
        <v>973.9</v>
      </c>
      <c r="H51" s="137"/>
      <c r="I51" s="136">
        <f t="shared" si="1"/>
        <v>973.9</v>
      </c>
      <c r="J51" s="136"/>
      <c r="K51" s="219">
        <f>F51-758.38</f>
        <v>215.51999999999998</v>
      </c>
      <c r="L51" s="219">
        <f>F51/758.38*100</f>
        <v>128.41847095123816</v>
      </c>
      <c r="M51" s="35">
        <f>E51-серпень!E51</f>
        <v>0</v>
      </c>
      <c r="N51" s="35">
        <f>F51-серпень!F51</f>
        <v>83.29999999999995</v>
      </c>
      <c r="O51" s="138">
        <f t="shared" si="3"/>
        <v>83.29999999999995</v>
      </c>
      <c r="P51" s="136"/>
      <c r="Q51" s="50">
        <f>N51-64.93</f>
        <v>18.369999999999948</v>
      </c>
      <c r="R51" s="126">
        <f>N51/64.93</f>
        <v>1.2829200677652848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485507.96</v>
      </c>
      <c r="G55" s="44">
        <f>F55-E55</f>
        <v>86.05999999999767</v>
      </c>
      <c r="H55" s="45">
        <f>F55/E55*100</f>
        <v>100.01772890757503</v>
      </c>
      <c r="I55" s="31">
        <f>F55-D55</f>
        <v>-122447.10999999993</v>
      </c>
      <c r="J55" s="31">
        <f>F55/D55*100</f>
        <v>79.8591843308421</v>
      </c>
      <c r="K55" s="31">
        <f>K8+K33+K53+K54</f>
        <v>116745.15600000005</v>
      </c>
      <c r="L55" s="31">
        <f>F55/(F55-K55)*100</f>
        <v>131.65860404944746</v>
      </c>
      <c r="M55" s="18">
        <f>M8+M33+M53+M54</f>
        <v>52238.399999999994</v>
      </c>
      <c r="N55" s="18">
        <f>N8+N33+N53+N54</f>
        <v>34373.77000000001</v>
      </c>
      <c r="O55" s="49">
        <f>N55-M55</f>
        <v>-17864.629999999983</v>
      </c>
      <c r="P55" s="31">
        <f>N55/M55*100</f>
        <v>65.8017282305737</v>
      </c>
      <c r="Q55" s="31">
        <f>N55-34768</f>
        <v>-394.22999999998865</v>
      </c>
      <c r="R55" s="171">
        <f>N55/34768</f>
        <v>0.9886611251725728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593.07</v>
      </c>
      <c r="G64" s="43">
        <f t="shared" si="8"/>
        <v>-1006.93</v>
      </c>
      <c r="H64" s="35"/>
      <c r="I64" s="53">
        <f t="shared" si="9"/>
        <v>-1906.9299999999998</v>
      </c>
      <c r="J64" s="53">
        <f t="shared" si="11"/>
        <v>23.722800000000003</v>
      </c>
      <c r="K64" s="53">
        <f>F64-1754.73</f>
        <v>-1161.6599999999999</v>
      </c>
      <c r="L64" s="53">
        <f>F64/1754.73*100</f>
        <v>33.79836214118412</v>
      </c>
      <c r="M64" s="35">
        <f>E64-серпень!E64</f>
        <v>600</v>
      </c>
      <c r="N64" s="35">
        <f>F64-серпень!F64</f>
        <v>0.05000000000006821</v>
      </c>
      <c r="O64" s="47">
        <f t="shared" si="10"/>
        <v>-599.9499999999999</v>
      </c>
      <c r="P64" s="53"/>
      <c r="Q64" s="53">
        <f>N64-0.04</f>
        <v>0.010000000000068211</v>
      </c>
      <c r="R64" s="129">
        <f>N64/0.04</f>
        <v>1.2500000000017053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3950.42</v>
      </c>
      <c r="G65" s="43">
        <f t="shared" si="8"/>
        <v>-1511.7399999999998</v>
      </c>
      <c r="H65" s="35">
        <f>F65/E65*100</f>
        <v>72.32340319580533</v>
      </c>
      <c r="I65" s="53">
        <f t="shared" si="9"/>
        <v>-7625.58</v>
      </c>
      <c r="J65" s="53">
        <f t="shared" si="11"/>
        <v>34.12595024187976</v>
      </c>
      <c r="K65" s="53">
        <f>F65-2393.24</f>
        <v>1557.1800000000003</v>
      </c>
      <c r="L65" s="53">
        <f>F65/2393.24*100</f>
        <v>165.06576858150459</v>
      </c>
      <c r="M65" s="35">
        <f>E65-серпень!E65</f>
        <v>728.7200000000003</v>
      </c>
      <c r="N65" s="35">
        <f>F65-серпень!F65</f>
        <v>191.7800000000002</v>
      </c>
      <c r="O65" s="47">
        <f t="shared" si="10"/>
        <v>-536.94</v>
      </c>
      <c r="P65" s="53">
        <f>N65/M65*100</f>
        <v>26.317378416950287</v>
      </c>
      <c r="Q65" s="53">
        <f>N65-450.01</f>
        <v>-258.2299999999998</v>
      </c>
      <c r="R65" s="129">
        <f>N65/450.01</f>
        <v>0.42616830737094774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8"/>
        <v>674.28</v>
      </c>
      <c r="H66" s="35">
        <f>F66/E66*100</f>
        <v>156.91087103308575</v>
      </c>
      <c r="I66" s="53">
        <f t="shared" si="9"/>
        <v>-1140.92</v>
      </c>
      <c r="J66" s="53">
        <f t="shared" si="11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0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6402.57</v>
      </c>
      <c r="G67" s="55">
        <f t="shared" si="8"/>
        <v>-1844.3899999999994</v>
      </c>
      <c r="H67" s="65">
        <f>F67/E67*100</f>
        <v>77.6355166024814</v>
      </c>
      <c r="I67" s="54">
        <f t="shared" si="9"/>
        <v>-10673.43</v>
      </c>
      <c r="J67" s="54">
        <f t="shared" si="11"/>
        <v>37.494553759662686</v>
      </c>
      <c r="K67" s="54">
        <f>K64+K65+K66</f>
        <v>1179.6900000000003</v>
      </c>
      <c r="L67" s="54"/>
      <c r="M67" s="55">
        <f>M64+M65+M66</f>
        <v>1476.8200000000002</v>
      </c>
      <c r="N67" s="55">
        <f>N64+N65+N66</f>
        <v>212.2700000000001</v>
      </c>
      <c r="O67" s="54">
        <f t="shared" si="10"/>
        <v>-1264.5500000000002</v>
      </c>
      <c r="P67" s="54">
        <f>N67/M67*100</f>
        <v>14.373451063772164</v>
      </c>
      <c r="Q67" s="54">
        <f>N67-7985.28</f>
        <v>-7773.009999999999</v>
      </c>
      <c r="R67" s="173">
        <f>N67/7985.28</f>
        <v>0.026582662098260813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6373.19</v>
      </c>
      <c r="G74" s="44">
        <f>F74-E74</f>
        <v>-1942.9899999999989</v>
      </c>
      <c r="H74" s="45">
        <f>F74/E74*100</f>
        <v>76.63602759921022</v>
      </c>
      <c r="I74" s="31">
        <f>F74-D74</f>
        <v>-10798.810000000001</v>
      </c>
      <c r="J74" s="31">
        <f>F74/D74*100</f>
        <v>37.11384812485441</v>
      </c>
      <c r="K74" s="31">
        <f>K62+K67+K71+K72</f>
        <v>836.3600000000004</v>
      </c>
      <c r="L74" s="31"/>
      <c r="M74" s="27">
        <f>M62+M72+M67+M71</f>
        <v>1495.8200000000002</v>
      </c>
      <c r="N74" s="27">
        <f>N62+N72+N67+N71+N73</f>
        <v>209.7600000000001</v>
      </c>
      <c r="O74" s="31">
        <f>N74-M74</f>
        <v>-1286.06</v>
      </c>
      <c r="P74" s="31">
        <f>N74/M74*100</f>
        <v>14.02307764303192</v>
      </c>
      <c r="Q74" s="31">
        <f>N74-8104.96</f>
        <v>-7895.2</v>
      </c>
      <c r="R74" s="127">
        <f>N74/8104.96</f>
        <v>0.025880448515476957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491881.15</v>
      </c>
      <c r="G75" s="44">
        <f>F75-E75</f>
        <v>-1856.929999999993</v>
      </c>
      <c r="H75" s="45">
        <f>F75/E75*100</f>
        <v>99.62390383176441</v>
      </c>
      <c r="I75" s="31">
        <f>F75-D75</f>
        <v>-133245.91999999993</v>
      </c>
      <c r="J75" s="31">
        <f>F75/D75*100</f>
        <v>78.68498639804545</v>
      </c>
      <c r="K75" s="31">
        <f>K55+K74</f>
        <v>117581.51600000005</v>
      </c>
      <c r="L75" s="31">
        <f>F75/(F75-K75)*100</f>
        <v>131.41374057555183</v>
      </c>
      <c r="M75" s="18">
        <f>M55+M74</f>
        <v>53734.219999999994</v>
      </c>
      <c r="N75" s="18">
        <f>N55+N74</f>
        <v>34583.53000000001</v>
      </c>
      <c r="O75" s="31">
        <f>N75-M75</f>
        <v>-19150.68999999998</v>
      </c>
      <c r="P75" s="31">
        <f>N75/M75*100</f>
        <v>64.36034616302241</v>
      </c>
      <c r="Q75" s="31">
        <f>N75-42872.96</f>
        <v>-8289.429999999986</v>
      </c>
      <c r="R75" s="127">
        <f>N75/42872.96</f>
        <v>0.8066513252175733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6</v>
      </c>
      <c r="D77" s="4" t="s">
        <v>118</v>
      </c>
    </row>
    <row r="78" spans="2:17" ht="31.5">
      <c r="B78" s="71" t="s">
        <v>154</v>
      </c>
      <c r="C78" s="34">
        <f>IF(O55&lt;0,ABS(O55/C77),0)</f>
        <v>2977.4383333333303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42269</v>
      </c>
      <c r="D79" s="34">
        <v>2192</v>
      </c>
      <c r="G79" s="4" t="s">
        <v>166</v>
      </c>
      <c r="N79" s="236"/>
      <c r="O79" s="236"/>
    </row>
    <row r="80" spans="3:15" ht="15.75">
      <c r="C80" s="111">
        <v>42268</v>
      </c>
      <c r="D80" s="34">
        <v>1714.1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42265</v>
      </c>
      <c r="D81" s="34">
        <v>2392.3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1851.98359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2015-09-23T08:07:39Z</cp:lastPrinted>
  <dcterms:created xsi:type="dcterms:W3CDTF">2003-07-28T11:27:56Z</dcterms:created>
  <dcterms:modified xsi:type="dcterms:W3CDTF">2015-09-23T08:18:20Z</dcterms:modified>
  <cp:category/>
  <cp:version/>
  <cp:contentType/>
  <cp:contentStatus/>
</cp:coreProperties>
</file>